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khilesh Reddy\OneDrive - Lincus, Inc\Documents\WP Supporting Docs\2020 HVAC WPs\SWHC020-01-Air Cooled Chiller\SWHC020-01 Air-Cooled Chiller_10.2_CC_051519\"/>
    </mc:Choice>
  </mc:AlternateContent>
  <xr:revisionPtr revIDLastSave="6" documentId="11_30F3F3DE319B540111BE7F39A2FA59B3C493E55A" xr6:coauthVersionLast="36" xr6:coauthVersionMax="36" xr10:uidLastSave="{A853B629-1847-4EC2-91C2-F71A0EEE2AA4}"/>
  <bookViews>
    <workbookView xWindow="0" yWindow="0" windowWidth="23040" windowHeight="10845" xr2:uid="{00000000-000D-0000-FFFF-FFFF00000000}"/>
  </bookViews>
  <sheets>
    <sheet name="Data Collection" sheetId="7" r:id="rId1"/>
    <sheet name="&lt;150 tons Data" sheetId="3" r:id="rId2"/>
    <sheet name="&gt;150 tons Data" sheetId="1" r:id="rId3"/>
    <sheet name="SCE Measure Summary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2" i="3" l="1"/>
  <c r="N4" i="6" l="1"/>
  <c r="O4" i="6"/>
  <c r="N5" i="6"/>
  <c r="O5" i="6"/>
  <c r="N6" i="6"/>
  <c r="O6" i="6"/>
  <c r="O3" i="6"/>
  <c r="N3" i="6"/>
  <c r="P11" i="3" l="1"/>
  <c r="P12" i="1"/>
  <c r="P11" i="1"/>
  <c r="M12" i="1" l="1"/>
  <c r="F3" i="3"/>
  <c r="G3" i="3"/>
  <c r="F4" i="3"/>
  <c r="G4" i="3"/>
  <c r="F5" i="3"/>
  <c r="G5" i="3"/>
  <c r="G2" i="3"/>
  <c r="F2" i="3"/>
  <c r="N7" i="6" l="1"/>
  <c r="O7" i="6"/>
  <c r="M7" i="6"/>
  <c r="F2" i="1" l="1"/>
  <c r="G2" i="1"/>
  <c r="F3" i="1"/>
  <c r="G3" i="1"/>
  <c r="F4" i="1"/>
  <c r="G4" i="1"/>
  <c r="H4" i="1" s="1"/>
  <c r="F5" i="1"/>
  <c r="G5" i="1"/>
  <c r="F6" i="1"/>
  <c r="G6" i="1"/>
  <c r="F7" i="1"/>
  <c r="G7" i="1"/>
  <c r="F8" i="1"/>
  <c r="G8" i="1"/>
  <c r="H8" i="1" s="1"/>
  <c r="F9" i="1"/>
  <c r="G9" i="1"/>
  <c r="F10" i="1"/>
  <c r="G10" i="1"/>
  <c r="F11" i="1"/>
  <c r="G11" i="1"/>
  <c r="F12" i="1"/>
  <c r="G12" i="1"/>
  <c r="H12" i="1" s="1"/>
  <c r="F13" i="1"/>
  <c r="G13" i="1"/>
  <c r="F14" i="1"/>
  <c r="G14" i="1"/>
  <c r="F15" i="1"/>
  <c r="G15" i="1"/>
  <c r="H14" i="1" l="1"/>
  <c r="H10" i="1"/>
  <c r="H6" i="1"/>
  <c r="H2" i="1"/>
  <c r="N12" i="1" s="1"/>
  <c r="H15" i="1"/>
  <c r="H13" i="1"/>
  <c r="H11" i="1"/>
  <c r="H9" i="1"/>
  <c r="H7" i="1"/>
  <c r="H5" i="1"/>
  <c r="H3" i="1"/>
  <c r="O12" i="1" l="1"/>
  <c r="M10" i="1"/>
  <c r="N11" i="1"/>
  <c r="I5" i="6" s="1"/>
  <c r="O11" i="1"/>
  <c r="I6" i="6"/>
  <c r="M11" i="1" l="1"/>
  <c r="K6" i="6"/>
  <c r="Q6" i="6"/>
  <c r="J6" i="6"/>
  <c r="J5" i="6"/>
  <c r="K5" i="6" s="1"/>
  <c r="H2" i="3"/>
  <c r="H5" i="3"/>
  <c r="H4" i="3"/>
  <c r="H3" i="3"/>
  <c r="O11" i="3" s="1"/>
  <c r="Q5" i="6" l="1"/>
  <c r="N11" i="3"/>
  <c r="I3" i="6" s="1"/>
  <c r="N12" i="3"/>
  <c r="M10" i="3" s="1"/>
  <c r="O12" i="3"/>
  <c r="J4" i="6" l="1"/>
  <c r="J3" i="6"/>
  <c r="K3" i="6"/>
  <c r="Q3" i="6"/>
  <c r="I4" i="6"/>
  <c r="M11" i="3"/>
  <c r="K4" i="6" l="1"/>
  <c r="Q4" i="6"/>
</calcChain>
</file>

<file path=xl/sharedStrings.xml><?xml version="1.0" encoding="utf-8"?>
<sst xmlns="http://schemas.openxmlformats.org/spreadsheetml/2006/main" count="69" uniqueCount="40">
  <si>
    <t>Actual Tonnage</t>
  </si>
  <si>
    <t>EER</t>
  </si>
  <si>
    <t>IPLV</t>
  </si>
  <si>
    <t>$/ton</t>
  </si>
  <si>
    <t>IMC/ton</t>
  </si>
  <si>
    <t>EER Tier</t>
  </si>
  <si>
    <t>IEER Tier</t>
  </si>
  <si>
    <t>Tier</t>
  </si>
  <si>
    <t>DEER EER</t>
  </si>
  <si>
    <t>DEER Min IPLV</t>
  </si>
  <si>
    <t>Size</t>
  </si>
  <si>
    <t>Title 24 Path A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</si>
  <si>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150</t>
    </r>
  </si>
  <si>
    <t>Avg. Cost/ton</t>
  </si>
  <si>
    <t>Avg IMC/ton</t>
  </si>
  <si>
    <t>Units</t>
  </si>
  <si>
    <t>&lt;150</t>
  </si>
  <si>
    <t>Measure</t>
  </si>
  <si>
    <t>Percent over Title 24</t>
  </si>
  <si>
    <t>Tier kW/ton Demand Reduction</t>
  </si>
  <si>
    <t>Tier kWh/ton Energy Savings</t>
  </si>
  <si>
    <t>IMC</t>
  </si>
  <si>
    <t>Baseline Cost</t>
  </si>
  <si>
    <t>GMC</t>
  </si>
  <si>
    <t>Proposed Incentive</t>
  </si>
  <si>
    <t>Estimated Annual Participation</t>
  </si>
  <si>
    <t>kW</t>
  </si>
  <si>
    <t>kWh</t>
  </si>
  <si>
    <t>Air-Cooled Chiller</t>
  </si>
  <si>
    <t>≥ 150 tons</t>
  </si>
  <si>
    <t>&lt; 150 tons</t>
  </si>
  <si>
    <t>Total</t>
  </si>
  <si>
    <t>Estimated TRC w P4P</t>
  </si>
  <si>
    <t>SCE 2018 Air-Cooled Chiller Measure Summary</t>
  </si>
  <si>
    <t>Data Collection Methodology</t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</si>
  <si>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Distributors provided costs for tier 1 and tier 2 equipment for both units under 150 tons and those greater than or equal to 150 tons.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</si>
  <si>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In some cases, only incremental costs were provided and actual prices were not provided. Therefore, baseline costs were determined by subtracting IMCs from Tier 2 cost data.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</si>
  <si>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Data collection is summarized in the SCE Measure Summary tab. The raw data is provided in the &lt;150 tons Data and &gt;150 tons Data tabs.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</si>
  <si>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Cost documentation for both base and measure case was collected from two distributors. Data was a combination of data from 2017 and 2016.</t>
    </r>
  </si>
  <si>
    <r>
      <t>·</t>
    </r>
    <r>
      <rPr>
        <sz val="7"/>
        <color theme="1"/>
        <rFont val="Times New Roman"/>
        <family val="1"/>
      </rPr>
      <t xml:space="preserve">        </t>
    </r>
    <r>
      <rPr>
        <sz val="11"/>
        <color theme="1"/>
        <rFont val="Calibri"/>
        <family val="2"/>
        <scheme val="minor"/>
      </rPr>
      <t>Baseline and measure costs were determined by surveying distributors leveraging contacts from Upstream Program Implementer for cost information (information was collected directly from the market and not from Program data).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</si>
</sst>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_(&quot;$&quot;* #,##0_);_(&quot;$&quot;* \(#,##0\);_(&quot;$&quot;* &quot;-&quot;??_);_(@_)"/>
    <numFmt numFmtId="167" formatCode="_(* #,##0.000_);_(* \(#,##0.0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C00000"/>
      <name val="Calibri"/>
      <family val="2"/>
      <scheme val="minor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3" xfId="0" applyFont="1" applyFill="1" applyBorder="1"/>
    <xf numFmtId="0" fontId="0" fillId="0" borderId="4" xfId="0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0" borderId="6" xfId="0" applyBorder="1"/>
    <xf numFmtId="0" fontId="1" fillId="0" borderId="7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5" xfId="0" applyBorder="1"/>
    <xf numFmtId="164" fontId="0" fillId="0" borderId="5" xfId="0" applyNumberFormat="1" applyBorder="1"/>
    <xf numFmtId="165" fontId="0" fillId="0" borderId="6" xfId="1" applyNumberFormat="1" applyFont="1" applyBorder="1"/>
    <xf numFmtId="0" fontId="0" fillId="0" borderId="8" xfId="0" applyBorder="1"/>
    <xf numFmtId="164" fontId="0" fillId="0" borderId="8" xfId="0" applyNumberFormat="1" applyBorder="1"/>
    <xf numFmtId="165" fontId="0" fillId="0" borderId="9" xfId="1" applyNumberFormat="1" applyFont="1" applyBorder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0" xfId="0" applyFont="1" applyFill="1" applyBorder="1" applyAlignment="1">
      <alignment vertical="center"/>
    </xf>
    <xf numFmtId="0" fontId="0" fillId="0" borderId="0" xfId="0" applyBorder="1" applyAlignment="1">
      <alignment horizontal="center"/>
    </xf>
    <xf numFmtId="164" fontId="0" fillId="0" borderId="0" xfId="0" applyNumberFormat="1" applyBorder="1"/>
    <xf numFmtId="164" fontId="0" fillId="0" borderId="0" xfId="2" applyNumberFormat="1" applyFont="1" applyBorder="1"/>
    <xf numFmtId="165" fontId="0" fillId="0" borderId="0" xfId="1" applyNumberFormat="1" applyFont="1" applyBorder="1"/>
    <xf numFmtId="0" fontId="5" fillId="0" borderId="7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166" fontId="0" fillId="0" borderId="5" xfId="0" applyNumberFormat="1" applyFill="1" applyBorder="1"/>
    <xf numFmtId="166" fontId="0" fillId="0" borderId="5" xfId="2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66" fontId="0" fillId="0" borderId="8" xfId="2" applyNumberFormat="1" applyFont="1" applyBorder="1" applyAlignment="1">
      <alignment horizontal="center"/>
    </xf>
    <xf numFmtId="0" fontId="0" fillId="0" borderId="9" xfId="0" applyBorder="1"/>
    <xf numFmtId="0" fontId="0" fillId="0" borderId="12" xfId="0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166" fontId="0" fillId="0" borderId="14" xfId="0" applyNumberFormat="1" applyFill="1" applyBorder="1"/>
    <xf numFmtId="37" fontId="0" fillId="0" borderId="14" xfId="0" applyNumberFormat="1" applyFill="1" applyBorder="1" applyAlignment="1">
      <alignment horizontal="center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44" fontId="0" fillId="0" borderId="5" xfId="2" applyNumberFormat="1" applyFont="1" applyBorder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0" fillId="0" borderId="4" xfId="0" applyBorder="1"/>
    <xf numFmtId="0" fontId="0" fillId="0" borderId="7" xfId="0" applyBorder="1"/>
    <xf numFmtId="44" fontId="0" fillId="0" borderId="8" xfId="2" applyNumberFormat="1" applyFont="1" applyBorder="1"/>
    <xf numFmtId="0" fontId="2" fillId="0" borderId="5" xfId="0" applyFont="1" applyBorder="1"/>
    <xf numFmtId="0" fontId="2" fillId="0" borderId="5" xfId="0" applyFont="1" applyBorder="1" applyAlignment="1">
      <alignment wrapText="1"/>
    </xf>
    <xf numFmtId="167" fontId="2" fillId="0" borderId="5" xfId="1" applyNumberFormat="1" applyFont="1" applyBorder="1" applyAlignment="1">
      <alignment wrapText="1"/>
    </xf>
    <xf numFmtId="165" fontId="2" fillId="0" borderId="5" xfId="1" applyNumberFormat="1" applyFont="1" applyBorder="1" applyAlignment="1">
      <alignment wrapText="1"/>
    </xf>
    <xf numFmtId="0" fontId="0" fillId="0" borderId="5" xfId="0" applyBorder="1" applyAlignment="1">
      <alignment horizontal="center" vertical="center"/>
    </xf>
    <xf numFmtId="9" fontId="0" fillId="0" borderId="5" xfId="3" applyFont="1" applyBorder="1" applyAlignment="1">
      <alignment horizontal="center" vertical="center"/>
    </xf>
    <xf numFmtId="44" fontId="0" fillId="0" borderId="5" xfId="2" applyNumberFormat="1" applyFont="1" applyBorder="1" applyAlignment="1">
      <alignment horizontal="center" vertical="center"/>
    </xf>
    <xf numFmtId="165" fontId="0" fillId="0" borderId="5" xfId="1" applyNumberFormat="1" applyFont="1" applyBorder="1" applyAlignment="1">
      <alignment horizontal="center" vertical="center"/>
    </xf>
    <xf numFmtId="0" fontId="2" fillId="0" borderId="0" xfId="0" applyFont="1"/>
    <xf numFmtId="165" fontId="2" fillId="0" borderId="5" xfId="0" applyNumberFormat="1" applyFont="1" applyBorder="1"/>
    <xf numFmtId="43" fontId="2" fillId="0" borderId="5" xfId="1" applyNumberFormat="1" applyFont="1" applyFill="1" applyBorder="1" applyAlignment="1">
      <alignment horizontal="center" vertical="center"/>
    </xf>
    <xf numFmtId="37" fontId="0" fillId="0" borderId="15" xfId="0" applyNumberFormat="1" applyFill="1" applyBorder="1" applyAlignment="1">
      <alignment horizontal="center"/>
    </xf>
    <xf numFmtId="37" fontId="0" fillId="0" borderId="6" xfId="0" applyNumberFormat="1" applyFill="1" applyBorder="1" applyAlignment="1">
      <alignment horizontal="center"/>
    </xf>
    <xf numFmtId="37" fontId="0" fillId="0" borderId="9" xfId="0" applyNumberFormat="1" applyFill="1" applyBorder="1" applyAlignment="1">
      <alignment horizontal="center"/>
    </xf>
    <xf numFmtId="164" fontId="0" fillId="0" borderId="0" xfId="0" applyNumberFormat="1"/>
    <xf numFmtId="37" fontId="0" fillId="0" borderId="19" xfId="0" applyNumberFormat="1" applyFill="1" applyBorder="1" applyAlignment="1">
      <alignment horizontal="center"/>
    </xf>
    <xf numFmtId="164" fontId="0" fillId="0" borderId="19" xfId="0" applyNumberFormat="1" applyBorder="1"/>
    <xf numFmtId="166" fontId="0" fillId="0" borderId="5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44" fontId="0" fillId="0" borderId="0" xfId="0" applyNumberFormat="1"/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tabSelected="1" workbookViewId="0">
      <selection activeCell="A3" sqref="A3"/>
    </sheetView>
  </sheetViews>
  <sheetFormatPr defaultRowHeight="15" x14ac:dyDescent="0.25"/>
  <sheetData>
    <row r="1" spans="1:1" x14ac:dyDescent="0.25">
      <c r="A1" s="69" t="s">
        <v>34</v>
      </c>
    </row>
    <row r="2" spans="1:1" x14ac:dyDescent="0.25">
      <c r="A2" s="70" t="s">
        <v>39</v>
      </c>
    </row>
    <row r="3" spans="1:1" x14ac:dyDescent="0.25">
      <c r="A3" s="70" t="s">
        <v>38</v>
      </c>
    </row>
    <row r="4" spans="1:1" x14ac:dyDescent="0.25">
      <c r="A4" s="70" t="s">
        <v>35</v>
      </c>
    </row>
    <row r="5" spans="1:1" x14ac:dyDescent="0.25">
      <c r="A5" s="70" t="s">
        <v>36</v>
      </c>
    </row>
    <row r="6" spans="1:1" x14ac:dyDescent="0.25">
      <c r="A6" s="70" t="s">
        <v>37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3"/>
  <sheetViews>
    <sheetView workbookViewId="0">
      <selection activeCell="M11" sqref="M11"/>
    </sheetView>
  </sheetViews>
  <sheetFormatPr defaultRowHeight="15" x14ac:dyDescent="0.25"/>
  <cols>
    <col min="6" max="7" width="8.85546875" customWidth="1"/>
    <col min="12" max="12" width="10.140625" customWidth="1"/>
    <col min="13" max="13" width="13.42578125" customWidth="1"/>
    <col min="14" max="14" width="11.85546875" customWidth="1"/>
  </cols>
  <sheetData>
    <row r="1" spans="1:16" ht="30.75" thickBot="1" x14ac:dyDescent="0.3">
      <c r="A1" s="41" t="s">
        <v>0</v>
      </c>
      <c r="B1" s="42" t="s">
        <v>1</v>
      </c>
      <c r="C1" s="42" t="s">
        <v>2</v>
      </c>
      <c r="D1" s="42" t="s">
        <v>3</v>
      </c>
      <c r="E1" s="42" t="s">
        <v>4</v>
      </c>
      <c r="F1" s="42" t="s">
        <v>5</v>
      </c>
      <c r="G1" s="42" t="s">
        <v>6</v>
      </c>
      <c r="H1" s="43" t="s">
        <v>7</v>
      </c>
    </row>
    <row r="2" spans="1:16" x14ac:dyDescent="0.25">
      <c r="A2" s="36">
        <v>145.30000000000001</v>
      </c>
      <c r="B2" s="37">
        <v>11.4</v>
      </c>
      <c r="C2" s="38">
        <v>18.3</v>
      </c>
      <c r="D2" s="39"/>
      <c r="E2" s="39">
        <v>196.76548520302816</v>
      </c>
      <c r="F2" s="40">
        <f>(VLOOKUP(B2,$L$5:$N$7,3,1))</f>
        <v>1</v>
      </c>
      <c r="G2" s="40">
        <f>VLOOKUP(C2,$M$5:$N$8,2,1)</f>
        <v>2</v>
      </c>
      <c r="H2" s="62">
        <f>MIN(F2,G2)</f>
        <v>1</v>
      </c>
      <c r="K2" s="1" t="s">
        <v>10</v>
      </c>
      <c r="L2" s="72" t="s">
        <v>11</v>
      </c>
      <c r="M2" s="73"/>
    </row>
    <row r="3" spans="1:16" ht="15.75" thickBot="1" x14ac:dyDescent="0.3">
      <c r="A3" s="4">
        <v>147.30000000000001</v>
      </c>
      <c r="B3" s="29">
        <v>11.5</v>
      </c>
      <c r="C3" s="28">
        <v>18.399999999999999</v>
      </c>
      <c r="D3" s="30"/>
      <c r="E3" s="30">
        <v>206.22114731839781</v>
      </c>
      <c r="F3" s="40">
        <f t="shared" ref="F3:F5" si="0">(VLOOKUP(B3,$L$5:$N$7,3,1))</f>
        <v>1</v>
      </c>
      <c r="G3" s="40">
        <f t="shared" ref="G3:G5" si="1">VLOOKUP(C3,$M$5:$N$8,2,1)</f>
        <v>2</v>
      </c>
      <c r="H3" s="63">
        <f t="shared" ref="H3" si="2">MIN(F3,G3)</f>
        <v>1</v>
      </c>
      <c r="K3" s="27" t="s">
        <v>16</v>
      </c>
      <c r="L3" s="8">
        <v>10.1</v>
      </c>
      <c r="M3" s="9">
        <v>14</v>
      </c>
    </row>
    <row r="4" spans="1:16" ht="15.75" thickBot="1" x14ac:dyDescent="0.3">
      <c r="A4" s="32">
        <v>145</v>
      </c>
      <c r="B4" s="20">
        <v>11.1</v>
      </c>
      <c r="C4" s="20">
        <v>17</v>
      </c>
      <c r="D4" s="31">
        <v>616.62758620689658</v>
      </c>
      <c r="E4" s="31">
        <v>139.04827586206898</v>
      </c>
      <c r="F4" s="40">
        <f t="shared" si="0"/>
        <v>1</v>
      </c>
      <c r="G4" s="40">
        <f t="shared" si="1"/>
        <v>2</v>
      </c>
      <c r="H4" s="63">
        <f t="shared" ref="H4:H5" si="3">MIN(F4,G4)</f>
        <v>1</v>
      </c>
    </row>
    <row r="5" spans="1:16" ht="15.75" thickBot="1" x14ac:dyDescent="0.3">
      <c r="A5" s="33">
        <v>145</v>
      </c>
      <c r="B5" s="21">
        <v>12.1</v>
      </c>
      <c r="C5" s="21">
        <v>18.2</v>
      </c>
      <c r="D5" s="34">
        <v>803.65517241379314</v>
      </c>
      <c r="E5" s="34">
        <v>326.07586206896553</v>
      </c>
      <c r="F5" s="66">
        <f t="shared" si="0"/>
        <v>2</v>
      </c>
      <c r="G5" s="66">
        <f t="shared" si="1"/>
        <v>2</v>
      </c>
      <c r="H5" s="64">
        <f t="shared" si="3"/>
        <v>2</v>
      </c>
      <c r="K5" s="1" t="s">
        <v>7</v>
      </c>
      <c r="L5" s="2" t="s">
        <v>8</v>
      </c>
      <c r="M5" s="2" t="s">
        <v>9</v>
      </c>
      <c r="N5" s="3" t="s">
        <v>7</v>
      </c>
    </row>
    <row r="6" spans="1:16" x14ac:dyDescent="0.25">
      <c r="K6" s="4">
        <v>1</v>
      </c>
      <c r="L6" s="5">
        <v>11.1</v>
      </c>
      <c r="M6" s="5">
        <v>15.1</v>
      </c>
      <c r="N6" s="6">
        <v>1</v>
      </c>
    </row>
    <row r="7" spans="1:16" x14ac:dyDescent="0.25">
      <c r="K7" s="4">
        <v>2</v>
      </c>
      <c r="L7" s="5">
        <v>12.1</v>
      </c>
      <c r="M7" s="5">
        <v>16.600000000000001</v>
      </c>
      <c r="N7" s="6">
        <v>2</v>
      </c>
    </row>
    <row r="8" spans="1:16" ht="15.75" thickBot="1" x14ac:dyDescent="0.3"/>
    <row r="9" spans="1:16" x14ac:dyDescent="0.25">
      <c r="K9" s="10" t="s">
        <v>10</v>
      </c>
      <c r="L9" s="11" t="s">
        <v>7</v>
      </c>
      <c r="M9" s="11" t="s">
        <v>13</v>
      </c>
      <c r="N9" s="12" t="s">
        <v>14</v>
      </c>
      <c r="O9" s="13" t="s">
        <v>15</v>
      </c>
    </row>
    <row r="10" spans="1:16" x14ac:dyDescent="0.25">
      <c r="K10" s="74" t="s">
        <v>16</v>
      </c>
      <c r="L10" s="20">
        <v>0</v>
      </c>
      <c r="M10" s="15">
        <f>M12-N12+N10</f>
        <v>477.5793103448276</v>
      </c>
      <c r="N10" s="15">
        <v>0</v>
      </c>
      <c r="O10" s="6"/>
    </row>
    <row r="11" spans="1:16" x14ac:dyDescent="0.25">
      <c r="K11" s="75"/>
      <c r="L11" s="20">
        <v>1</v>
      </c>
      <c r="M11" s="15">
        <f>M12-N12+N11</f>
        <v>658.25761313932594</v>
      </c>
      <c r="N11" s="15">
        <f>AVERAGEIFS(E:E,H:H,L11)</f>
        <v>180.67830279449831</v>
      </c>
      <c r="O11" s="16">
        <f>COUNTIFS(H:H,L11)</f>
        <v>3</v>
      </c>
      <c r="P11">
        <f>_xlfn.STDEV.P(E2:E4)</f>
        <v>29.688906382756439</v>
      </c>
    </row>
    <row r="12" spans="1:16" ht="15.75" thickBot="1" x14ac:dyDescent="0.3">
      <c r="K12" s="76"/>
      <c r="L12" s="21">
        <v>2</v>
      </c>
      <c r="M12" s="67">
        <f>D5</f>
        <v>803.65517241379314</v>
      </c>
      <c r="N12" s="18">
        <f>AVERAGEIFS(E:E,H:H,L12)</f>
        <v>326.07586206896553</v>
      </c>
      <c r="O12" s="19">
        <f>COUNTIFS(H:H,L12)</f>
        <v>1</v>
      </c>
      <c r="P12" s="65"/>
    </row>
    <row r="13" spans="1:16" x14ac:dyDescent="0.25">
      <c r="K13" s="22"/>
      <c r="L13" s="23"/>
      <c r="M13" s="24"/>
      <c r="N13" s="25"/>
      <c r="O13" s="26"/>
    </row>
  </sheetData>
  <mergeCells count="2">
    <mergeCell ref="L2:M2"/>
    <mergeCell ref="K10:K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5"/>
  <sheetViews>
    <sheetView workbookViewId="0">
      <selection activeCell="M14" sqref="M14"/>
    </sheetView>
  </sheetViews>
  <sheetFormatPr defaultRowHeight="15" x14ac:dyDescent="0.25"/>
  <cols>
    <col min="6" max="7" width="0" hidden="1" customWidth="1"/>
    <col min="12" max="12" width="10.140625" customWidth="1"/>
    <col min="13" max="13" width="13.42578125" bestFit="1" customWidth="1"/>
    <col min="14" max="14" width="11.85546875" bestFit="1" customWidth="1"/>
  </cols>
  <sheetData>
    <row r="1" spans="1:16" ht="30.75" thickBot="1" x14ac:dyDescent="0.3">
      <c r="A1" s="45" t="s">
        <v>0</v>
      </c>
      <c r="B1" s="46" t="s">
        <v>1</v>
      </c>
      <c r="C1" s="46" t="s">
        <v>2</v>
      </c>
      <c r="D1" s="46" t="s">
        <v>3</v>
      </c>
      <c r="E1" s="46" t="s">
        <v>4</v>
      </c>
      <c r="F1" s="46" t="s">
        <v>5</v>
      </c>
      <c r="G1" s="46" t="s">
        <v>6</v>
      </c>
      <c r="H1" s="47" t="s">
        <v>7</v>
      </c>
    </row>
    <row r="2" spans="1:16" x14ac:dyDescent="0.25">
      <c r="A2" s="48">
        <v>176.2</v>
      </c>
      <c r="B2" s="14">
        <v>11.4</v>
      </c>
      <c r="C2" s="14">
        <v>18.399999999999999</v>
      </c>
      <c r="D2" s="44"/>
      <c r="E2" s="44">
        <v>172.66274687854715</v>
      </c>
      <c r="F2" s="14">
        <f t="shared" ref="F2:F15" si="0">VLOOKUP(B2,$L$3:$N$7,3,1)</f>
        <v>1</v>
      </c>
      <c r="G2" s="14">
        <f t="shared" ref="G2:G15" si="1">VLOOKUP(C2,$L$3:$N$7,3,1)</f>
        <v>2</v>
      </c>
      <c r="H2" s="6">
        <f t="shared" ref="H2:H15" si="2">MIN(F2,G2)</f>
        <v>1</v>
      </c>
      <c r="K2" s="1" t="s">
        <v>10</v>
      </c>
      <c r="L2" s="72" t="s">
        <v>11</v>
      </c>
      <c r="M2" s="73"/>
    </row>
    <row r="3" spans="1:16" ht="15.75" thickBot="1" x14ac:dyDescent="0.3">
      <c r="A3" s="48">
        <v>178.6</v>
      </c>
      <c r="B3" s="14">
        <v>11.6</v>
      </c>
      <c r="C3" s="14">
        <v>18.5</v>
      </c>
      <c r="D3" s="44"/>
      <c r="E3" s="44">
        <v>180.34280515117578</v>
      </c>
      <c r="F3" s="14">
        <f t="shared" si="0"/>
        <v>1</v>
      </c>
      <c r="G3" s="14">
        <f t="shared" si="1"/>
        <v>2</v>
      </c>
      <c r="H3" s="6">
        <f t="shared" si="2"/>
        <v>1</v>
      </c>
      <c r="K3" s="7" t="s">
        <v>12</v>
      </c>
      <c r="L3" s="8">
        <v>10.1</v>
      </c>
      <c r="M3" s="9">
        <v>14</v>
      </c>
    </row>
    <row r="4" spans="1:16" ht="15.75" thickBot="1" x14ac:dyDescent="0.3">
      <c r="A4" s="48">
        <v>196.5</v>
      </c>
      <c r="B4" s="14">
        <v>11.6</v>
      </c>
      <c r="C4" s="14">
        <v>18.8</v>
      </c>
      <c r="D4" s="44"/>
      <c r="E4" s="44">
        <v>146.50331297709914</v>
      </c>
      <c r="F4" s="14">
        <f t="shared" si="0"/>
        <v>1</v>
      </c>
      <c r="G4" s="14">
        <f t="shared" si="1"/>
        <v>2</v>
      </c>
      <c r="H4" s="6">
        <f t="shared" si="2"/>
        <v>1</v>
      </c>
    </row>
    <row r="5" spans="1:16" x14ac:dyDescent="0.25">
      <c r="A5" s="48">
        <v>199.2</v>
      </c>
      <c r="B5" s="14">
        <v>11.6</v>
      </c>
      <c r="C5" s="14">
        <v>18.899999999999999</v>
      </c>
      <c r="D5" s="44"/>
      <c r="E5" s="44">
        <v>166.12211345381516</v>
      </c>
      <c r="F5" s="14">
        <f t="shared" si="0"/>
        <v>1</v>
      </c>
      <c r="G5" s="14">
        <f t="shared" si="1"/>
        <v>2</v>
      </c>
      <c r="H5" s="6">
        <f t="shared" si="2"/>
        <v>1</v>
      </c>
      <c r="K5" s="1" t="s">
        <v>7</v>
      </c>
      <c r="L5" s="2" t="s">
        <v>8</v>
      </c>
      <c r="M5" s="2" t="s">
        <v>9</v>
      </c>
      <c r="N5" s="3" t="s">
        <v>7</v>
      </c>
    </row>
    <row r="6" spans="1:16" x14ac:dyDescent="0.25">
      <c r="A6" s="48">
        <v>221.5</v>
      </c>
      <c r="B6" s="14">
        <v>12.1</v>
      </c>
      <c r="C6" s="14">
        <v>19.5</v>
      </c>
      <c r="D6" s="44"/>
      <c r="E6" s="44">
        <v>195.62325507900681</v>
      </c>
      <c r="F6" s="14">
        <f t="shared" si="0"/>
        <v>2</v>
      </c>
      <c r="G6" s="14">
        <f t="shared" si="1"/>
        <v>2</v>
      </c>
      <c r="H6" s="6">
        <f t="shared" si="2"/>
        <v>2</v>
      </c>
      <c r="K6" s="4">
        <v>1</v>
      </c>
      <c r="L6" s="5">
        <v>11.1</v>
      </c>
      <c r="M6" s="5">
        <v>15.4</v>
      </c>
      <c r="N6" s="6">
        <v>1</v>
      </c>
    </row>
    <row r="7" spans="1:16" x14ac:dyDescent="0.25">
      <c r="A7" s="48">
        <v>224.5</v>
      </c>
      <c r="B7" s="14">
        <v>12.1</v>
      </c>
      <c r="C7" s="14">
        <v>19.600000000000001</v>
      </c>
      <c r="D7" s="44"/>
      <c r="E7" s="44">
        <v>148.66993318485527</v>
      </c>
      <c r="F7" s="14">
        <f t="shared" si="0"/>
        <v>2</v>
      </c>
      <c r="G7" s="14">
        <f t="shared" si="1"/>
        <v>2</v>
      </c>
      <c r="H7" s="6">
        <f t="shared" si="2"/>
        <v>2</v>
      </c>
      <c r="K7" s="4">
        <v>2</v>
      </c>
      <c r="L7" s="5">
        <v>12.1</v>
      </c>
      <c r="M7" s="5">
        <v>16.899999999999999</v>
      </c>
      <c r="N7" s="6">
        <v>2</v>
      </c>
    </row>
    <row r="8" spans="1:16" ht="15.75" thickBot="1" x14ac:dyDescent="0.3">
      <c r="A8" s="48">
        <v>248.4</v>
      </c>
      <c r="B8" s="14">
        <v>11.6</v>
      </c>
      <c r="C8" s="14">
        <v>19.3</v>
      </c>
      <c r="D8" s="44"/>
      <c r="E8" s="44">
        <v>131.01049114331727</v>
      </c>
      <c r="F8" s="14">
        <f t="shared" si="0"/>
        <v>1</v>
      </c>
      <c r="G8" s="14">
        <f t="shared" si="1"/>
        <v>2</v>
      </c>
      <c r="H8" s="6">
        <f t="shared" si="2"/>
        <v>1</v>
      </c>
    </row>
    <row r="9" spans="1:16" x14ac:dyDescent="0.25">
      <c r="A9" s="48">
        <v>251.7</v>
      </c>
      <c r="B9" s="14">
        <v>11.6</v>
      </c>
      <c r="C9" s="14">
        <v>19.399999999999999</v>
      </c>
      <c r="D9" s="44"/>
      <c r="E9" s="44">
        <v>141.27493047278512</v>
      </c>
      <c r="F9" s="14">
        <f t="shared" si="0"/>
        <v>1</v>
      </c>
      <c r="G9" s="14">
        <f t="shared" si="1"/>
        <v>2</v>
      </c>
      <c r="H9" s="6">
        <f t="shared" si="2"/>
        <v>1</v>
      </c>
      <c r="K9" s="10" t="s">
        <v>10</v>
      </c>
      <c r="L9" s="11" t="s">
        <v>7</v>
      </c>
      <c r="M9" s="11" t="s">
        <v>13</v>
      </c>
      <c r="N9" s="12" t="s">
        <v>14</v>
      </c>
      <c r="O9" s="13" t="s">
        <v>15</v>
      </c>
    </row>
    <row r="10" spans="1:16" x14ac:dyDescent="0.25">
      <c r="A10" s="48">
        <v>271.5</v>
      </c>
      <c r="B10" s="14">
        <v>11.8</v>
      </c>
      <c r="C10" s="14">
        <v>19.7</v>
      </c>
      <c r="D10" s="44"/>
      <c r="E10" s="44">
        <v>142.97810681399636</v>
      </c>
      <c r="F10" s="14">
        <f t="shared" si="0"/>
        <v>1</v>
      </c>
      <c r="G10" s="14">
        <f t="shared" si="1"/>
        <v>2</v>
      </c>
      <c r="H10" s="6">
        <f t="shared" si="2"/>
        <v>1</v>
      </c>
      <c r="K10" s="77" t="s">
        <v>12</v>
      </c>
      <c r="L10" s="20">
        <v>0</v>
      </c>
      <c r="M10" s="15">
        <f>M12-N12</f>
        <v>450.09190020834228</v>
      </c>
      <c r="N10" s="15">
        <v>0</v>
      </c>
      <c r="O10" s="6"/>
    </row>
    <row r="11" spans="1:16" x14ac:dyDescent="0.25">
      <c r="A11" s="48">
        <v>275.2</v>
      </c>
      <c r="B11" s="14">
        <v>11.8</v>
      </c>
      <c r="C11" s="14">
        <v>19.8</v>
      </c>
      <c r="D11" s="44"/>
      <c r="E11" s="44">
        <v>100.41079215116285</v>
      </c>
      <c r="F11" s="14">
        <f t="shared" si="0"/>
        <v>1</v>
      </c>
      <c r="G11" s="14">
        <f t="shared" si="1"/>
        <v>2</v>
      </c>
      <c r="H11" s="6">
        <f t="shared" si="2"/>
        <v>1</v>
      </c>
      <c r="K11" s="75"/>
      <c r="L11" s="20">
        <v>1</v>
      </c>
      <c r="M11" s="15">
        <f>M12-N12+N11</f>
        <v>589.32055029906155</v>
      </c>
      <c r="N11" s="15">
        <f>AVERAGEIFS(E:E,H:H,L11)</f>
        <v>139.22865009071924</v>
      </c>
      <c r="O11" s="16">
        <f>COUNTIFS(H:H,L11)</f>
        <v>11</v>
      </c>
      <c r="P11">
        <f>_xlfn.STDEV.P(E2:E5,E8:E14)</f>
        <v>30.924269123388754</v>
      </c>
    </row>
    <row r="12" spans="1:16" ht="15.75" thickBot="1" x14ac:dyDescent="0.3">
      <c r="A12" s="48">
        <v>299.89999999999998</v>
      </c>
      <c r="B12" s="14">
        <v>11.7</v>
      </c>
      <c r="C12" s="14">
        <v>20</v>
      </c>
      <c r="D12" s="44"/>
      <c r="E12" s="44">
        <v>116.35306102034021</v>
      </c>
      <c r="F12" s="14">
        <f t="shared" si="0"/>
        <v>1</v>
      </c>
      <c r="G12" s="14">
        <f t="shared" si="1"/>
        <v>2</v>
      </c>
      <c r="H12" s="6">
        <f t="shared" si="2"/>
        <v>1</v>
      </c>
      <c r="K12" s="76"/>
      <c r="L12" s="21">
        <v>2</v>
      </c>
      <c r="M12" s="18">
        <f>D15</f>
        <v>639.14666666666665</v>
      </c>
      <c r="N12" s="18">
        <f>AVERAGEIFS(E:E,H:H,L12)</f>
        <v>189.05476645832437</v>
      </c>
      <c r="O12" s="19">
        <f>COUNTIFS(H:H,L12)</f>
        <v>3</v>
      </c>
      <c r="P12">
        <f>_xlfn.STDEV.P(E3:E6,E9:E15)</f>
        <v>40.800974624359171</v>
      </c>
    </row>
    <row r="13" spans="1:16" x14ac:dyDescent="0.25">
      <c r="A13" s="48">
        <v>304</v>
      </c>
      <c r="B13" s="14">
        <v>11.8</v>
      </c>
      <c r="C13" s="14">
        <v>20.100000000000001</v>
      </c>
      <c r="D13" s="44"/>
      <c r="E13" s="44">
        <v>73.19901315789474</v>
      </c>
      <c r="F13" s="14">
        <f t="shared" si="0"/>
        <v>1</v>
      </c>
      <c r="G13" s="14">
        <f t="shared" si="1"/>
        <v>2</v>
      </c>
      <c r="H13" s="6">
        <f t="shared" si="2"/>
        <v>1</v>
      </c>
      <c r="K13" s="22"/>
      <c r="L13" s="23"/>
      <c r="M13" s="24"/>
      <c r="N13" s="25"/>
      <c r="O13" s="26"/>
    </row>
    <row r="14" spans="1:16" x14ac:dyDescent="0.25">
      <c r="A14" s="48">
        <v>225</v>
      </c>
      <c r="B14" s="14">
        <v>11.1</v>
      </c>
      <c r="C14" s="14">
        <v>17.600000000000001</v>
      </c>
      <c r="D14" s="44">
        <v>576.93333333333328</v>
      </c>
      <c r="E14" s="44">
        <v>160.65777777777771</v>
      </c>
      <c r="F14" s="14">
        <f t="shared" si="0"/>
        <v>1</v>
      </c>
      <c r="G14" s="14">
        <f t="shared" si="1"/>
        <v>2</v>
      </c>
      <c r="H14" s="6">
        <f t="shared" si="2"/>
        <v>1</v>
      </c>
    </row>
    <row r="15" spans="1:16" ht="15.75" thickBot="1" x14ac:dyDescent="0.3">
      <c r="A15" s="49">
        <v>225</v>
      </c>
      <c r="B15" s="17">
        <v>12.1</v>
      </c>
      <c r="C15" s="17">
        <v>18.600000000000001</v>
      </c>
      <c r="D15" s="50">
        <v>639.14666666666665</v>
      </c>
      <c r="E15" s="50">
        <v>222.87111111111108</v>
      </c>
      <c r="F15" s="17">
        <f t="shared" si="0"/>
        <v>2</v>
      </c>
      <c r="G15" s="17">
        <f t="shared" si="1"/>
        <v>2</v>
      </c>
      <c r="H15" s="35">
        <f t="shared" si="2"/>
        <v>2</v>
      </c>
    </row>
  </sheetData>
  <mergeCells count="2">
    <mergeCell ref="L2:M2"/>
    <mergeCell ref="K10:K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"/>
  <sheetViews>
    <sheetView zoomScale="85" zoomScaleNormal="85" workbookViewId="0">
      <selection activeCell="J6" sqref="J6"/>
    </sheetView>
  </sheetViews>
  <sheetFormatPr defaultRowHeight="15" x14ac:dyDescent="0.25"/>
  <cols>
    <col min="1" max="11" width="9.85546875" customWidth="1"/>
    <col min="12" max="12" width="12.7109375" bestFit="1" customWidth="1"/>
    <col min="13" max="13" width="11.85546875" customWidth="1"/>
    <col min="14" max="16" width="9.85546875" customWidth="1"/>
  </cols>
  <sheetData>
    <row r="1" spans="1:17" x14ac:dyDescent="0.25">
      <c r="A1" s="59" t="s">
        <v>33</v>
      </c>
    </row>
    <row r="2" spans="1:17" ht="75" x14ac:dyDescent="0.25">
      <c r="A2" s="52" t="s">
        <v>17</v>
      </c>
      <c r="B2" s="52" t="s">
        <v>10</v>
      </c>
      <c r="C2" s="52" t="s">
        <v>7</v>
      </c>
      <c r="D2" s="52" t="s">
        <v>1</v>
      </c>
      <c r="E2" s="53" t="s">
        <v>2</v>
      </c>
      <c r="F2" s="53" t="s">
        <v>18</v>
      </c>
      <c r="G2" s="52" t="s">
        <v>19</v>
      </c>
      <c r="H2" s="52" t="s">
        <v>20</v>
      </c>
      <c r="I2" s="52" t="s">
        <v>21</v>
      </c>
      <c r="J2" s="52" t="s">
        <v>22</v>
      </c>
      <c r="K2" s="52" t="s">
        <v>23</v>
      </c>
      <c r="L2" s="52" t="s">
        <v>24</v>
      </c>
      <c r="M2" s="54" t="s">
        <v>25</v>
      </c>
      <c r="N2" s="52" t="s">
        <v>26</v>
      </c>
      <c r="O2" s="52" t="s">
        <v>27</v>
      </c>
    </row>
    <row r="3" spans="1:17" x14ac:dyDescent="0.25">
      <c r="A3" s="78" t="s">
        <v>28</v>
      </c>
      <c r="B3" s="78" t="s">
        <v>30</v>
      </c>
      <c r="C3" s="55">
        <v>1</v>
      </c>
      <c r="D3" s="55">
        <v>11.1</v>
      </c>
      <c r="E3" s="55">
        <v>15.1</v>
      </c>
      <c r="F3" s="56">
        <v>0.1</v>
      </c>
      <c r="G3" s="55">
        <v>6.3100000000000003E-2</v>
      </c>
      <c r="H3" s="55">
        <v>102</v>
      </c>
      <c r="I3" s="57">
        <f>'&lt;150 tons Data'!N11</f>
        <v>180.67830279449831</v>
      </c>
      <c r="J3" s="57">
        <f>'&lt;150 tons Data'!$M$10</f>
        <v>477.5793103448276</v>
      </c>
      <c r="K3" s="57">
        <f>J3+I3</f>
        <v>658.25761313932594</v>
      </c>
      <c r="L3" s="68">
        <v>100</v>
      </c>
      <c r="M3" s="58">
        <v>793.71394801956058</v>
      </c>
      <c r="N3" s="58">
        <f>M3*G3</f>
        <v>50.083350120034275</v>
      </c>
      <c r="O3" s="58">
        <f>M3*H3</f>
        <v>80958.822697995172</v>
      </c>
      <c r="Q3" s="71">
        <f t="shared" ref="Q3:Q5" si="0">SUM(I3,J3)</f>
        <v>658.25761313932594</v>
      </c>
    </row>
    <row r="4" spans="1:17" x14ac:dyDescent="0.25">
      <c r="A4" s="78"/>
      <c r="B4" s="78"/>
      <c r="C4" s="55">
        <v>2</v>
      </c>
      <c r="D4" s="55">
        <v>12.1</v>
      </c>
      <c r="E4" s="55">
        <v>16.600000000000001</v>
      </c>
      <c r="F4" s="56">
        <v>0.2</v>
      </c>
      <c r="G4" s="55">
        <v>0.11600000000000001</v>
      </c>
      <c r="H4" s="55">
        <v>187</v>
      </c>
      <c r="I4" s="57">
        <f>'&lt;150 tons Data'!N12</f>
        <v>326.07586206896553</v>
      </c>
      <c r="J4" s="57">
        <f>'&lt;150 tons Data'!$M$10</f>
        <v>477.5793103448276</v>
      </c>
      <c r="K4" s="57">
        <f t="shared" ref="K4:K6" si="1">J4+I4</f>
        <v>803.65517241379314</v>
      </c>
      <c r="L4" s="68">
        <v>175</v>
      </c>
      <c r="M4" s="58">
        <v>95.382777777777733</v>
      </c>
      <c r="N4" s="58">
        <f t="shared" ref="N4:N6" si="2">M4*G4</f>
        <v>11.064402222222217</v>
      </c>
      <c r="O4" s="58">
        <f t="shared" ref="O4:O6" si="3">M4*H4</f>
        <v>17836.579444444436</v>
      </c>
      <c r="Q4" s="71">
        <f t="shared" si="0"/>
        <v>803.65517241379314</v>
      </c>
    </row>
    <row r="5" spans="1:17" x14ac:dyDescent="0.25">
      <c r="A5" s="78"/>
      <c r="B5" s="79" t="s">
        <v>29</v>
      </c>
      <c r="C5" s="55">
        <v>1</v>
      </c>
      <c r="D5" s="55">
        <v>11.1</v>
      </c>
      <c r="E5" s="55">
        <v>15.4</v>
      </c>
      <c r="F5" s="56">
        <v>0.1</v>
      </c>
      <c r="G5" s="55">
        <v>6.3100000000000003E-2</v>
      </c>
      <c r="H5" s="55">
        <v>102</v>
      </c>
      <c r="I5" s="57">
        <f>'&gt;150 tons Data'!N11</f>
        <v>139.22865009071924</v>
      </c>
      <c r="J5" s="57">
        <f>'&gt;150 tons Data'!M10</f>
        <v>450.09190020834228</v>
      </c>
      <c r="K5" s="57">
        <f>J5+I5</f>
        <v>589.32055029906155</v>
      </c>
      <c r="L5" s="68">
        <v>100</v>
      </c>
      <c r="M5" s="58">
        <v>906.04771864710574</v>
      </c>
      <c r="N5" s="58">
        <f t="shared" si="2"/>
        <v>57.171611046632378</v>
      </c>
      <c r="O5" s="58">
        <f t="shared" si="3"/>
        <v>92416.867302004786</v>
      </c>
      <c r="Q5" s="71">
        <f t="shared" si="0"/>
        <v>589.32055029906155</v>
      </c>
    </row>
    <row r="6" spans="1:17" x14ac:dyDescent="0.25">
      <c r="A6" s="78"/>
      <c r="B6" s="79"/>
      <c r="C6" s="55">
        <v>2</v>
      </c>
      <c r="D6" s="55">
        <v>12.1</v>
      </c>
      <c r="E6" s="55">
        <v>16.899999999999999</v>
      </c>
      <c r="F6" s="56">
        <v>0.2</v>
      </c>
      <c r="G6" s="55">
        <v>0.11600000000000001</v>
      </c>
      <c r="H6" s="55">
        <v>187</v>
      </c>
      <c r="I6" s="57">
        <f>'&gt;150 tons Data'!N12</f>
        <v>189.05476645832437</v>
      </c>
      <c r="J6" s="57">
        <f>'&gt;150 tons Data'!M10</f>
        <v>450.09190020834228</v>
      </c>
      <c r="K6" s="57">
        <f t="shared" si="1"/>
        <v>639.14666666666665</v>
      </c>
      <c r="L6" s="68">
        <v>175</v>
      </c>
      <c r="M6" s="58">
        <v>204.85555555555561</v>
      </c>
      <c r="N6" s="58">
        <f t="shared" si="2"/>
        <v>23.763244444444453</v>
      </c>
      <c r="O6" s="58">
        <f t="shared" si="3"/>
        <v>38307.988888888896</v>
      </c>
      <c r="Q6" s="71">
        <f>SUM(I6,J6)</f>
        <v>639.14666666666665</v>
      </c>
    </row>
    <row r="7" spans="1:17" x14ac:dyDescent="0.25">
      <c r="L7" s="51" t="s">
        <v>31</v>
      </c>
      <c r="M7" s="60">
        <f>SUM(M3:M6)</f>
        <v>1999.9999999999998</v>
      </c>
      <c r="N7" s="60">
        <f t="shared" ref="N7:O7" si="4">SUM(N3:N6)</f>
        <v>142.08260783333333</v>
      </c>
      <c r="O7" s="60">
        <f t="shared" si="4"/>
        <v>229520.2583333333</v>
      </c>
    </row>
    <row r="8" spans="1:17" ht="30" x14ac:dyDescent="0.25">
      <c r="L8" s="52" t="s">
        <v>32</v>
      </c>
      <c r="M8" s="61">
        <v>0.75</v>
      </c>
      <c r="N8" s="51"/>
      <c r="O8" s="51"/>
    </row>
  </sheetData>
  <mergeCells count="3">
    <mergeCell ref="B3:B4"/>
    <mergeCell ref="B5:B6"/>
    <mergeCell ref="A3:A6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099DC07F07124CBA61013265313220" ma:contentTypeVersion="6" ma:contentTypeDescription="Create a new document." ma:contentTypeScope="" ma:versionID="bae05894cd8b45aac1a9e3c9bf164af9">
  <xsd:schema xmlns:xsd="http://www.w3.org/2001/XMLSchema" xmlns:xs="http://www.w3.org/2001/XMLSchema" xmlns:p="http://schemas.microsoft.com/office/2006/metadata/properties" xmlns:ns2="c8d08b59-7f79-4f5c-bb9c-3ec99906943f" xmlns:ns3="49780523-a0e8-4bb5-96f2-a06842d0c74d" targetNamespace="http://schemas.microsoft.com/office/2006/metadata/properties" ma:root="true" ma:fieldsID="6a712593405116ae6c9993a2967988bb" ns2:_="" ns3:_="">
    <xsd:import namespace="c8d08b59-7f79-4f5c-bb9c-3ec99906943f"/>
    <xsd:import namespace="49780523-a0e8-4bb5-96f2-a06842d0c74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d08b59-7f79-4f5c-bb9c-3ec99906943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st Shared By Us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st Shared By Time" ma:description="" ma:internalName="LastSharedByTime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780523-a0e8-4bb5-96f2-a06842d0c7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2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F911E25B-CAFA-45E7-BBAB-47589970FE67}">
  <ds:schemaRefs>
    <ds:schemaRef ds:uri="c8d08b59-7f79-4f5c-bb9c-3ec99906943f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49780523-a0e8-4bb5-96f2-a06842d0c74d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2CD6E98-E7B3-4259-88D2-39105F3D61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E025CD-B260-438A-B364-2945208F3E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8d08b59-7f79-4f5c-bb9c-3ec99906943f"/>
    <ds:schemaRef ds:uri="49780523-a0e8-4bb5-96f2-a06842d0c7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4B17547-31B2-4DB3-AAA1-C46DB5667CD2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Collection</vt:lpstr>
      <vt:lpstr>&lt;150 tons Data</vt:lpstr>
      <vt:lpstr>&gt;150 tons Data</vt:lpstr>
      <vt:lpstr>SCE Measure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 Tanzer</dc:creator>
  <cp:lastModifiedBy>Akhilesh Endurthy</cp:lastModifiedBy>
  <dcterms:created xsi:type="dcterms:W3CDTF">2017-10-17T18:48:37Z</dcterms:created>
  <dcterms:modified xsi:type="dcterms:W3CDTF">2019-05-21T17:49:05Z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0x010100C7099DC07F07124CBA61013265313220</vt:lpwstr>
  </property>
</Properties>
</file>